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kvv-my.sharepoint.com/personal/nils_albert_netzplusservice_de/Documents/Desktop/"/>
    </mc:Choice>
  </mc:AlternateContent>
  <xr:revisionPtr revIDLastSave="0" documentId="8_{727A1CF9-6DCD-47C6-81E3-0194B0BA9358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7" l="1"/>
  <c r="D11" i="5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E63" i="18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K21" i="18" l="1"/>
  <c r="L21" i="18"/>
  <c r="H21" i="18"/>
  <c r="J21" i="18"/>
  <c r="N21" i="18"/>
  <c r="I21" i="18"/>
  <c r="H31" i="18"/>
  <c r="G21" i="18"/>
  <c r="E21" i="18" s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70" i="17"/>
  <c r="G70" i="17"/>
  <c r="H70" i="17"/>
  <c r="I70" i="17"/>
  <c r="J70" i="17"/>
  <c r="K70" i="17"/>
  <c r="L70" i="17"/>
  <c r="M70" i="17"/>
  <c r="N70" i="17"/>
  <c r="E70" i="17"/>
  <c r="H55" i="18" l="1"/>
  <c r="L55" i="18"/>
  <c r="F55" i="18"/>
  <c r="I55" i="18"/>
  <c r="M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C5" i="1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<sst xmlns="http://schemas.openxmlformats.org/spreadsheetml/2006/main" count="1378" uniqueCount="670">
  <si>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</si>
  <si>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</si>
  <si>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</si>
  <si>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</si>
  <si>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</si>
  <si>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</si>
  <si>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</si>
  <si>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</si>
  <si>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</si>
  <si>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</si>
  <si>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</si>
  <si>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</si>
  <si>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</si>
  <si>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</si>
  <si>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</si>
  <si>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</si>
  <si>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</si>
  <si>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</si>
  <si>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</si>
  <si>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</si>
  <si>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</si>
  <si>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</si>
  <si>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</si>
  <si>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</si>
  <si>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</si>
  <si>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</si>
  <si>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</si>
  <si>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</si>
  <si>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</si>
  <si>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</si>
  <si>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</si>
  <si>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</si>
  <si>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</si>
  <si>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</si>
  <si>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</si>
  <si>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</si>
  <si>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</si>
  <si>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</si>
  <si>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</si>
  <si>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</si>
  <si>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</si>
  <si>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</si>
  <si>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</si>
  <si>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</si>
  <si>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</si>
  <si>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</si>
  <si>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</si>
  <si>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</si>
  <si>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</si>
  <si>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</si>
  <si>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</si>
  <si>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</si>
  <si>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</si>
  <si>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</si>
  <si>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</si>
  <si>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</si>
  <si>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</si>
  <si>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</si>
  <si>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</si>
  <si>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</si>
  <si>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</si>
  <si>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</si>
  <si>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</si>
  <si>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</si>
  <si>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</si>
  <si>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</si>
  <si>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</si>
  <si>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</si>
  <si>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</si>
  <si>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</si>
  <si>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</si>
  <si>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</si>
  <si>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</si>
  <si>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</si>
  <si>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</si>
  <si>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</si>
  <si>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</si>
  <si>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</si>
  <si>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</si>
  <si>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</si>
  <si>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</si>
  <si>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</si>
  <si>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</si>
  <si>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</si>
  <si>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</si>
  <si>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</si>
  <si>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</si>
  <si>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</si>
  <si>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</si>
  <si>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</si>
  <si>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</si>
  <si>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</si>
  <si>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</si>
  <si>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</si>
  <si>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</si>
  <si>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</si>
  <si>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</si>
  <si>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</si>
  <si>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</si>
  <si>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</si>
  <si>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</si>
  <si>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</si>
  <si>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</si>
  <si>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</si>
  <si>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</si>
  <si>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</si>
  <si>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</si>
  <si>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</si>
  <si>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</si>
  <si>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</si>
  <si>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</si>
  <si>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</si>
  <si>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</si>
  <si>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</si>
  <si>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</si>
  <si>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</si>
  <si>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</si>
  <si>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</si>
  <si>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</si>
  <si>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</si>
  <si>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</si>
  <si>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</si>
  <si>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</si>
  <si>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</si>
  <si>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</si>
  <si>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</si>
  <si>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</si>
  <si>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</si>
  <si>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</si>
  <si>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</si>
  <si>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</si>
  <si>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</si>
  <si>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</si>
  <si>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</si>
  <si>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</si>
  <si>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</si>
  <si>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</si>
  <si>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</si>
  <si>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</si>
  <si>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</si>
  <si>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</si>
  <si>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</si>
  <si>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</si>
  <si>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</si>
  <si>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</si>
  <si>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</si>
  <si>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</si>
  <si>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</si>
  <si>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</si>
  <si>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</si>
  <si>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</si>
  <si>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</si>
  <si>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</si>
  <si>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</si>
  <si>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</si>
  <si>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</si>
  <si>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</si>
  <si>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</si>
  <si>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</si>
  <si>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</si>
  <si>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</si>
  <si>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</si>
  <si>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</si>
  <si>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</si>
  <si>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</si>
  <si>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</si>
  <si>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</si>
  <si>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</si>
  <si>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</si>
  <si>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</si>
  <si>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</si>
  <si>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</si>
  <si>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</si>
  <si>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</si>
  <si>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</si>
  <si>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</si>
  <si>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</si>
  <si>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</si>
  <si>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</si>
  <si>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</si>
  <si>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</si>
  <si>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</si>
  <si>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</si>
  <si>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</si>
  <si>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</si>
  <si>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</si>
  <si>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</si>
  <si>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</si>
  <si>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</si>
  <si>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</si>
  <si>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</si>
  <si>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</si>
  <si>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</si>
  <si>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</si>
  <si>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</si>
  <si>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</si>
  <si>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</si>
  <si>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</si>
  <si>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</si>
  <si>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</si>
  <si>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</si>
  <si>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</si>
  <si>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</si>
  <si>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</si>
  <si>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</si>
  <si>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</si>
  <si>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</si>
  <si>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</si>
  <si>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</si>
  <si>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</si>
  <si>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</si>
  <si>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</si>
  <si>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</si>
  <si>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</si>
  <si>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</si>
  <si>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</si>
  <si>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</si>
  <si>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</si>
  <si>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</si>
  <si>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</si>
  <si>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</si>
  <si>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</si>
  <si>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</si>
  <si>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</si>
  <si>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</si>
  <si>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</si>
  <si>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</si>
  <si>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</si>
  <si>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</si>
  <si>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</si>
  <si>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</si>
  <si>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</si>
  <si>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</si>
  <si>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</si>
  <si>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</si>
  <si>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</si>
  <si>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</si>
  <si>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</si>
  <si>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</si>
  <si>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</si>
  <si>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</si>
  <si>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</si>
  <si>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</si>
  <si>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</si>
  <si>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</si>
  <si>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</si>
  <si>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</si>
  <si>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</si>
  <si>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</si>
  <si>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</si>
  <si>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</si>
  <si>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</si>
  <si>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</si>
  <si>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</si>
  <si>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</si>
  <si>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</si>
  <si>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</si>
  <si>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</si>
  <si>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</si>
  <si>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</si>
  <si>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</si>
  <si>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</si>
  <si>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</si>
  <si>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</si>
  <si>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</si>
  <si>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</si>
  <si>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</si>
  <si>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</si>
  <si>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</si>
  <si>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</si>
  <si>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</si>
  <si>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</si>
  <si>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</si>
  <si>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</si>
  <si>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</si>
  <si>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</si>
  <si>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</si>
  <si>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</si>
  <si>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</si>
  <si>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</si>
  <si>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</si>
  <si>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</si>
  <si>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</si>
  <si>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</si>
  <si>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</si>
  <si>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</si>
  <si>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</si>
  <si>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</si>
  <si>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</si>
  <si>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</si>
  <si>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</si>
  <si>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</si>
  <si>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</si>
  <si>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</si>
  <si>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</si>
  <si>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</si>
  <si>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</si>
  <si>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</si>
  <si>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</si>
  <si>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</si>
  <si>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</si>
  <si>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</si>
  <si>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</si>
  <si>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</si>
  <si>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</si>
  <si>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</si>
  <si>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</si>
  <si>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</si>
  <si>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</si>
  <si>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</si>
  <si>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</si>
  <si>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</si>
  <si>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</si>
  <si>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</si>
  <si>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</si>
  <si>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</si>
  <si>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</si>
  <si>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</si>
  <si>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</si>
  <si>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</si>
  <si>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</si>
  <si>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</si>
  <si>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</si>
  <si>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</si>
  <si>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</si>
  <si>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</si>
  <si>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</si>
  <si>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</si>
  <si>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</si>
  <si>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</si>
  <si>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</si>
  <si>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</si>
  <si>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</si>
  <si>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</si>
  <si>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</si>
  <si>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</si>
  <si>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</si>
  <si>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</si>
  <si>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</si>
  <si>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</si>
  <si>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</si>
  <si>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</si>
  <si>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</si>
  <si>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</si>
  <si>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</si>
  <si>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</si>
  <si>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</si>
  <si>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</si>
  <si>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</si>
  <si>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</si>
  <si>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</si>
  <si>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</si>
  <si>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</si>
  <si>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</si>
  <si>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</si>
  <si>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</si>
  <si>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</si>
  <si>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</si>
  <si>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</si>
  <si>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</si>
  <si>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</si>
  <si>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</si>
  <si>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</si>
  <si>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</si>
  <si>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</si>
  <si>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</si>
  <si>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</si>
  <si>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</si>
  <si>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</si>
  <si>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</si>
  <si>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</si>
  <si>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</si>
  <si>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</si>
  <si>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</si>
  <si>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</si>
  <si>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</si>
  <si>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</si>
  <si>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</si>
  <si>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</si>
  <si>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</si>
  <si>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</si>
  <si>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</si>
  <si>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</si>
  <si>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</si>
  <si>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</si>
  <si>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</si>
  <si>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</si>
  <si>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</si>
  <si>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</si>
  <si>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</si>
  <si>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</si>
  <si>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</si>
  <si>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</si>
  <si>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</si>
  <si>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</si>
  <si>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</si>
  <si>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</si>
  <si>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</si>
  <si>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</si>
  <si>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</si>
  <si>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</si>
  <si>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</si>
  <si>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</si>
  <si>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</si>
  <si>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</si>
  <si>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</si>
  <si>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</si>
  <si>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</si>
  <si>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</si>
  <si>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</si>
  <si>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</si>
  <si>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</si>
  <si>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</si>
  <si>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</si>
  <si>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</si>
  <si>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</si>
  <si>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</si>
  <si>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</si>
  <si>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</si>
  <si>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</si>
  <si>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</si>
  <si>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</si>
  <si>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</si>
  <si>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</si>
  <si>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</si>
  <si>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</si>
  <si>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</si>
  <si>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</si>
  <si>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</si>
  <si>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</si>
  <si>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</si>
  <si>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</si>
  <si>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</si>
  <si>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</si>
  <si>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</si>
  <si>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</si>
  <si>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</si>
  <si>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</si>
  <si>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</si>
  <si>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</si>
  <si>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</si>
  <si>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</si>
  <si>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</si>
  <si>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</si>
  <si>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</si>
  <si>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</si>
  <si>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</si>
  <si>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</si>
  <si>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</si>
  <si>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</si>
  <si>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</si>
  <si>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</si>
  <si>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</si>
  <si>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</si>
  <si>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</si>
  <si>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</si>
  <si>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</si>
  <si>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</si>
  <si>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</si>
  <si>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</si>
  <si>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</si>
  <si>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</si>
  <si>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</si>
  <si>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</si>
  <si>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</si>
  <si>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</si>
  <si>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</si>
  <si>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</si>
  <si>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</si>
  <si>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</si>
  <si>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</si>
  <si>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</si>
  <si>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</si>
  <si>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</si>
  <si>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</si>
  <si>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</si>
  <si>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</si>
  <si>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</si>
  <si>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</si>
  <si>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</si>
  <si>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</si>
  <si>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</si>
  <si>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</si>
  <si>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</si>
  <si>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</si>
  <si>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</si>
  <si>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</si>
  <si>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</si>
  <si>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</si>
  <si>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</si>
  <si>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</si>
  <si>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</si>
  <si>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</si>
  <si>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</si>
  <si>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</si>
  <si>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</si>
  <si>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</si>
  <si>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</si>
  <si>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</si>
  <si>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</si>
  <si>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</si>
  <si>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</si>
  <si>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</si>
  <si>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</si>
  <si>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</si>
  <si>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</si>
  <si>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</si>
  <si>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</si>
  <si>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</si>
  <si>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</si>
  <si>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</si>
  <si>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</si>
  <si>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</si>
  <si>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</si>
  <si>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</si>
  <si>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</si>
  <si>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</si>
  <si>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</si>
  <si>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</si>
  <si>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</si>
  <si>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</si>
  <si>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</si>
  <si>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</si>
  <si>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</si>
  <si>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</si>
  <si>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</si>
  <si>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</si>
  <si>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</si>
  <si>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</si>
  <si>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</si>
  <si>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</si>
  <si>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</si>
  <si>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</si>
  <si>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</si>
  <si>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</si>
  <si>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</si>
  <si>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</si>
  <si>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</si>
  <si>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</si>
  <si>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</si>
  <si>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</si>
  <si>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</si>
  <si>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</si>
  <si>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</si>
  <si>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</si>
  <si>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</si>
  <si>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</si>
  <si>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</si>
  <si>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</si>
  <si>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</si>
  <si>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</si>
  <si>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</si>
  <si>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</si>
  <si>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</si>
  <si>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</si>
  <si>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</si>
  <si>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</si>
  <si>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</si>
  <si>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</si>
  <si>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</si>
  <si>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</si>
  <si>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</si>
  <si>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</si>
  <si>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</si>
  <si>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</si>
  <si>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</si>
  <si>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</si>
  <si>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</si>
  <si>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</si>
  <si>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</si>
  <si>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</si>
  <si>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</si>
  <si>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</si>
  <si>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</si>
  <si>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</si>
  <si>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</si>
  <si>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</si>
  <si>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</si>
  <si>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</si>
  <si>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</si>
  <si>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</si>
  <si>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</si>
  <si>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</si>
  <si>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</si>
  <si>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</si>
  <si>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</si>
  <si>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</si>
  <si>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</si>
  <si>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</si>
  <si>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</si>
  <si>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</si>
  <si>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</si>
  <si>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</si>
  <si>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</si>
  <si>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</si>
  <si>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</si>
  <si>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</si>
  <si>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</si>
  <si>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</si>
  <si>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</si>
  <si>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</si>
  <si>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</si>
  <si>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</si>
  <si>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</si>
  <si>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</si>
  <si>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</si>
  <si>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</si>
  <si>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</si>
  <si>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</si>
  <si>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</si>
  <si>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</si>
  <si>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</si>
  <si>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</si>
  <si>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</si>
  <si>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</si>
  <si>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</si>
  <si>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</si>
  <si>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</si>
  <si>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</si>
  <si>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</si>
  <si>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</si>
  <si>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</si>
  <si>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</si>
  <si>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</si>
  <si>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</si>
  <si>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</si>
  <si>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</si>
  <si>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</si>
  <si>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</si>
  <si>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</si>
  <si>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</si>
  <si>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</si>
  <si>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</si>
  <si>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</si>
  <si>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</si>
  <si>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</si>
  <si>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</si>
  <si>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</si>
  <si>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</si>
  <si>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</si>
  <si>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</si>
  <si>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</si>
  <si>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</si>
  <si>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</si>
  <si>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</si>
  <si>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</si>
  <si>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</si>
  <si>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</si>
  <si>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</si>
  <si>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</si>
  <si>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</si>
  <si>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</si>
  <si>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</si>
  <si>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</si>
  <si>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</si>
  <si>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</si>
  <si>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</si>
  <si>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</si>
  <si>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</si>
  <si>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Städtische Werke Netz + Service GmbH</t>
  </si>
  <si>
    <t>Eisenacher Straße 12</t>
  </si>
  <si>
    <t>Kassel</t>
  </si>
  <si>
    <t>Team EDM</t>
  </si>
  <si>
    <t>edm@netzplusservice.de</t>
  </si>
  <si>
    <t>0561 5745-1958</t>
  </si>
  <si>
    <t>THE0NKH700934000</t>
  </si>
  <si>
    <t>DE_HEF04</t>
  </si>
  <si>
    <t>DE_HMF04</t>
  </si>
  <si>
    <t>DE_GHD04</t>
  </si>
  <si>
    <t>MeteoGroup Deutschland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</si>
</sst>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bertN\Downloads\20190807_KoV-X-SLP-Gas-Verfahrensspezifische-Parameter-Netzbetreiber.xlsx" TargetMode="External"/><Relationship Id="rId1" Type="http://schemas.openxmlformats.org/officeDocument/2006/relationships/externalLinkPath" Target="file:///C:\Users\AlbertN\Downloads\20190807_KoV-X-SLP-Gas-Verfahrensspezifische-Parameter-Netzbetrei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 refreshError="1"/>
      <sheetData sheetId="1">
        <row r="11">
          <cell r="D11" t="str">
            <v>987009340009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506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6" t="s">
        <v>654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9" sqref="D9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501</v>
      </c>
      <c r="D4" s="17">
        <v>45108</v>
      </c>
      <c r="F4" s="8"/>
    </row>
    <row r="5" spans="2:6" ht="15" customHeight="1">
      <c r="B5" s="16"/>
    </row>
    <row r="6" spans="2:6" ht="15" customHeight="1">
      <c r="B6" s="16"/>
      <c r="C6" s="48" t="s">
        <v>502</v>
      </c>
      <c r="D6" s="17">
        <v>45108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659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9" t="str">
        <f>"987009340009"</f>
        <v>987009340009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660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34123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661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662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663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664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Kassel</v>
      </c>
      <c r="E28" s="26"/>
    </row>
    <row r="29" spans="2:15">
      <c r="C29" s="16" t="s">
        <v>393</v>
      </c>
      <c r="D29" s="32" t="s">
        <v>661</v>
      </c>
      <c r="E29" s="28"/>
    </row>
    <row r="30" spans="2:15">
      <c r="C30" s="16" t="s">
        <v>394</v>
      </c>
      <c r="D30" s="32" t="s">
        <v>500</v>
      </c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A861975A-D52A-439D-85A1-9E6AA189947C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8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Städtische Werke Netz + Service 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Kassel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 t="str">
        <f>Netzbetreiber!$D$11</f>
        <v>987009340009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45108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617</v>
      </c>
      <c r="D11" s="21" t="s">
        <v>618</v>
      </c>
      <c r="H11" s="229" t="s">
        <v>618</v>
      </c>
      <c r="I11" s="229" t="s">
        <v>619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655</v>
      </c>
      <c r="D13" s="29" t="s">
        <v>665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366</v>
      </c>
      <c r="D15" s="34" t="s">
        <v>135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 zeitnah ermittelter Netzustand bestimmt Höhe der täglichen Allokation</v>
      </c>
      <c r="D16" s="11"/>
      <c r="H16" s="228" t="s">
        <v>576</v>
      </c>
      <c r="I16" s="228" t="s">
        <v>486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SLPana</v>
      </c>
      <c r="D17" s="11"/>
      <c r="H17" s="228" t="s">
        <v>487</v>
      </c>
      <c r="I17" s="228" t="s">
        <v>488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615</v>
      </c>
      <c r="D19" s="34" t="s">
        <v>611</v>
      </c>
      <c r="H19" s="225" t="s">
        <v>611</v>
      </c>
      <c r="I19" s="225" t="s">
        <v>612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613</v>
      </c>
      <c r="H20" s="225" t="s">
        <v>614</v>
      </c>
      <c r="I20" t="s">
        <v>610</v>
      </c>
      <c r="J20"/>
      <c r="K20"/>
      <c r="L20" s="226"/>
    </row>
    <row r="21" spans="2:16" ht="15" customHeight="1">
      <c r="B21" s="16"/>
      <c r="C21" s="2" t="s">
        <v>616</v>
      </c>
      <c r="D21" s="2" t="str">
        <f>IF(D19=$H$19,L21,IF(D20=$H$21,M21,N21))</f>
        <v>=&gt;  Q(D) = KW  x  h(T, SLP-Typ)  x  F(WT)</v>
      </c>
      <c r="H21" s="225" t="s">
        <v>613</v>
      </c>
      <c r="I21" s="225" t="s">
        <v>620</v>
      </c>
      <c r="J21"/>
      <c r="K21"/>
      <c r="L21" s="228" t="s">
        <v>621</v>
      </c>
      <c r="M21" s="228" t="s">
        <v>623</v>
      </c>
      <c r="N21" s="228" t="s">
        <v>622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579</v>
      </c>
      <c r="D23" s="29" t="s">
        <v>136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624</v>
      </c>
      <c r="D24" s="29" t="s">
        <v>625</v>
      </c>
      <c r="H24" s="257" t="s">
        <v>625</v>
      </c>
      <c r="I24" s="227" t="s">
        <v>626</v>
      </c>
      <c r="J24" s="227" t="s">
        <v>627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628</v>
      </c>
      <c r="I25" s="228" t="s">
        <v>629</v>
      </c>
      <c r="J25" s="228" t="s">
        <v>630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631</v>
      </c>
      <c r="I26" s="228" t="s">
        <v>632</v>
      </c>
      <c r="J26" s="228" t="s">
        <v>633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578</v>
      </c>
      <c r="D28" s="29" t="s">
        <v>134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 × F(opt)</v>
      </c>
      <c r="H29" s="228" t="s">
        <v>634</v>
      </c>
      <c r="I29" s="228" t="s">
        <v>635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Hinweis: beim Verwendung von Optimierungsfaktoren, sind tägl. anwendungsspezif. Parameter bereitzustellen. </v>
      </c>
      <c r="H30" s="228" t="s">
        <v>636</v>
      </c>
      <c r="I30" s="225" t="s">
        <v>631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491</v>
      </c>
      <c r="C32" s="2" t="s">
        <v>493</v>
      </c>
      <c r="D32" s="222">
        <v>4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550</v>
      </c>
      <c r="C34" s="3" t="s">
        <v>363</v>
      </c>
      <c r="D34" s="22">
        <v>1500000</v>
      </c>
      <c r="E34" t="s">
        <v>507</v>
      </c>
      <c r="I34" s="225"/>
      <c r="J34" s="225"/>
      <c r="K34" s="225"/>
      <c r="L34" s="225"/>
      <c r="M34" s="226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551</v>
      </c>
      <c r="C37" s="3" t="s">
        <v>364</v>
      </c>
      <c r="D37" s="24">
        <v>500</v>
      </c>
      <c r="E37" t="s">
        <v>542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541</v>
      </c>
    </row>
    <row r="41" spans="2:22" ht="18" customHeight="1">
      <c r="C41" s="2" t="s">
        <v>543</v>
      </c>
    </row>
    <row r="42" spans="2:22" ht="18" customHeight="1">
      <c r="C42" s="2"/>
    </row>
    <row r="43" spans="2:22" ht="15" customHeight="1">
      <c r="B43" s="16" t="s">
        <v>552</v>
      </c>
      <c r="C43" s="40" t="s">
        <v>577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587</v>
      </c>
      <c r="D45" s="32" t="s">
        <v>661</v>
      </c>
    </row>
    <row r="46" spans="2:22" ht="18" customHeight="1">
      <c r="C46" s="16" t="s">
        <v>588</v>
      </c>
      <c r="D46" s="32" t="s">
        <v>604</v>
      </c>
    </row>
    <row r="47" spans="2:22" ht="18" customHeight="1">
      <c r="C47" s="16" t="s">
        <v>589</v>
      </c>
      <c r="D47" s="32"/>
    </row>
    <row r="48" spans="2:22" ht="18" customHeight="1">
      <c r="C48" s="16" t="s">
        <v>590</v>
      </c>
      <c r="D48" s="32"/>
    </row>
    <row r="49" spans="3:4" ht="18" customHeight="1">
      <c r="C49" s="16" t="s">
        <v>591</v>
      </c>
      <c r="D49" s="32"/>
    </row>
    <row r="50" spans="3:4" ht="18" customHeight="1">
      <c r="C50" s="16" t="s">
        <v>592</v>
      </c>
      <c r="D50" s="32"/>
    </row>
    <row r="51" spans="3:4" ht="18" customHeight="1">
      <c r="C51" s="16" t="s">
        <v>593</v>
      </c>
      <c r="D51" s="32"/>
    </row>
    <row r="52" spans="3:4" ht="18" customHeight="1">
      <c r="C52" s="16" t="s">
        <v>594</v>
      </c>
      <c r="D52" s="32"/>
    </row>
    <row r="53" spans="3:4" ht="18" customHeight="1">
      <c r="C53" s="16" t="s">
        <v>595</v>
      </c>
      <c r="D53" s="32"/>
    </row>
    <row r="54" spans="3:4" ht="18" customHeight="1">
      <c r="C54" s="16" t="s">
        <v>596</v>
      </c>
      <c r="D54" s="32"/>
    </row>
    <row r="55" spans="3:4" ht="18" customHeight="1">
      <c r="C55" s="16" t="s">
        <v>597</v>
      </c>
      <c r="D55" s="32"/>
    </row>
    <row r="56" spans="3:4" ht="18" customHeight="1">
      <c r="C56" s="16" t="s">
        <v>598</v>
      </c>
      <c r="D56" s="32"/>
    </row>
    <row r="57" spans="3:4" ht="18" customHeight="1">
      <c r="C57" s="16" t="s">
        <v>599</v>
      </c>
      <c r="D57" s="32"/>
    </row>
    <row r="58" spans="3:4" ht="18" customHeight="1">
      <c r="C58" s="16" t="s">
        <v>600</v>
      </c>
      <c r="D58" s="32"/>
    </row>
    <row r="59" spans="3:4" ht="18" customHeight="1">
      <c r="C59" s="16" t="s">
        <v>601</v>
      </c>
      <c r="D59" s="32"/>
    </row>
  </sheetData>
  <conditionalFormatting sqref="D45:D59">
    <cfRule type="expression" dxfId="55" priority="17">
      <formula>IF(CELL("Zeile",D45)&lt;$D$43+CELL("Zeile",$D$45),1,0)</formula>
    </cfRule>
  </conditionalFormatting>
  <conditionalFormatting sqref="D46:D59">
    <cfRule type="expression" dxfId="54" priority="16">
      <formula>IF(CELL(D46)&lt;$D$33+27,1,0)</formula>
    </cfRule>
  </conditionalFormatting>
  <conditionalFormatting sqref="D20">
    <cfRule type="expression" dxfId="53" priority="15">
      <formula>IF($D$19=$H$19,1,0)</formula>
    </cfRule>
  </conditionalFormatting>
  <conditionalFormatting sqref="D28">
    <cfRule type="expression" dxfId="52" priority="4">
      <formula>IF($D$15="synthetisch",1,0)</formula>
    </cfRule>
  </conditionalFormatting>
  <conditionalFormatting sqref="D25">
    <cfRule type="expression" dxfId="51" priority="2">
      <formula>IF(AND($D$24=$I$24,$D$23=$H$23),1,0)</formula>
    </cfRule>
  </conditionalFormatting>
  <conditionalFormatting sqref="D23:D25">
    <cfRule type="expression" dxfId="50" priority="5">
      <formula>IF($D$15="analytisch",1,0)</formula>
    </cfRule>
  </conditionalFormatting>
  <conditionalFormatting sqref="D24">
    <cfRule type="expression" dxfId="49" priority="3">
      <formula>IF($D$23="nein",1)</formula>
    </cfRule>
  </conditionalFormatting>
  <conditionalFormatting sqref="D13">
    <cfRule type="expression" dxfId="1" priority="1">
      <formula>IF($D$11="Gaspool",1,0)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F29" sqref="F29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545</v>
      </c>
    </row>
    <row r="3" spans="1:56" ht="15" customHeight="1">
      <c r="B3" s="6"/>
    </row>
    <row r="4" spans="1:56">
      <c r="C4" s="40" t="s">
        <v>442</v>
      </c>
      <c r="D4" s="41"/>
      <c r="E4" s="42" t="s">
        <v>659</v>
      </c>
    </row>
    <row r="5" spans="1:56">
      <c r="C5" s="40" t="s">
        <v>441</v>
      </c>
      <c r="D5" s="41"/>
      <c r="E5" s="42" t="str">
        <f>Netzbetreiber!D28</f>
        <v>Kassel</v>
      </c>
    </row>
    <row r="6" spans="1:56">
      <c r="C6" s="40" t="s">
        <v>485</v>
      </c>
      <c r="D6" s="41"/>
      <c r="E6" s="44" t="str">
        <f>[1]Netzbetreiber!$D$11</f>
        <v>987009340009</v>
      </c>
    </row>
    <row r="7" spans="1:56">
      <c r="C7" s="40" t="s">
        <v>133</v>
      </c>
      <c r="D7" s="41"/>
      <c r="E7" s="35">
        <v>45108</v>
      </c>
    </row>
    <row r="8" spans="1:56">
      <c r="H8" s="68" t="s">
        <v>495</v>
      </c>
    </row>
    <row r="9" spans="1:56">
      <c r="C9" s="40" t="s">
        <v>523</v>
      </c>
      <c r="F9" s="129">
        <f>'SLP-Verfahren'!D43</f>
        <v>1</v>
      </c>
      <c r="H9" s="143" t="s">
        <v>602</v>
      </c>
    </row>
    <row r="10" spans="1:56">
      <c r="C10" s="40" t="s">
        <v>586</v>
      </c>
      <c r="F10" s="249">
        <v>1</v>
      </c>
      <c r="G10" s="41"/>
      <c r="H10" s="143" t="s">
        <v>603</v>
      </c>
    </row>
    <row r="11" spans="1:56">
      <c r="C11" s="40" t="s">
        <v>605</v>
      </c>
      <c r="F11" s="247" t="str">
        <f>INDEX('SLP-Verfahren'!D45:D59,'SLP-Temp-Gebiet #01'!F10)</f>
        <v>Kassel</v>
      </c>
      <c r="G11" s="250"/>
      <c r="H11" s="68"/>
    </row>
    <row r="12" spans="1:56"/>
    <row r="13" spans="1:56" ht="18" customHeight="1">
      <c r="C13" s="287" t="s">
        <v>585</v>
      </c>
      <c r="D13" s="287"/>
      <c r="E13" s="287"/>
      <c r="F13" s="16" t="s">
        <v>549</v>
      </c>
      <c r="G13" t="s">
        <v>547</v>
      </c>
      <c r="H13" s="219" t="s">
        <v>564</v>
      </c>
      <c r="I13" s="41"/>
    </row>
    <row r="14" spans="1:56" ht="19.5" customHeight="1">
      <c r="C14" s="288" t="s">
        <v>445</v>
      </c>
      <c r="D14" s="288"/>
      <c r="E14" s="5" t="s">
        <v>446</v>
      </c>
      <c r="F14" s="220" t="s">
        <v>85</v>
      </c>
      <c r="G14" s="221" t="s">
        <v>573</v>
      </c>
      <c r="H14" s="36">
        <v>0</v>
      </c>
      <c r="I14" s="41"/>
      <c r="O14" s="144" t="s">
        <v>528</v>
      </c>
      <c r="R14" s="49" t="s">
        <v>565</v>
      </c>
      <c r="S14" s="49" t="s">
        <v>566</v>
      </c>
      <c r="T14" s="49" t="s">
        <v>567</v>
      </c>
      <c r="U14" s="49" t="s">
        <v>568</v>
      </c>
      <c r="V14" s="49" t="s">
        <v>548</v>
      </c>
      <c r="W14" s="49" t="s">
        <v>569</v>
      </c>
      <c r="X14" s="49" t="s">
        <v>570</v>
      </c>
      <c r="Y14" s="49" t="s">
        <v>571</v>
      </c>
      <c r="Z14" s="49" t="s">
        <v>572</v>
      </c>
      <c r="AA14" s="49" t="s">
        <v>573</v>
      </c>
      <c r="AB14" s="49" t="s">
        <v>574</v>
      </c>
      <c r="AC14" s="49" t="s">
        <v>575</v>
      </c>
    </row>
    <row r="15" spans="1:56" ht="19.5" customHeight="1">
      <c r="C15" s="288" t="s">
        <v>385</v>
      </c>
      <c r="D15" s="288"/>
      <c r="E15" s="5" t="s">
        <v>446</v>
      </c>
      <c r="F15" s="220" t="s">
        <v>71</v>
      </c>
      <c r="G15" s="221" t="s">
        <v>567</v>
      </c>
      <c r="H15" s="36">
        <v>0</v>
      </c>
      <c r="I15" s="41"/>
      <c r="O15" s="135" t="s">
        <v>669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550</v>
      </c>
      <c r="AJ15" s="218" t="s">
        <v>551</v>
      </c>
      <c r="AK15" s="218" t="s">
        <v>552</v>
      </c>
      <c r="AL15" s="218" t="s">
        <v>553</v>
      </c>
      <c r="AM15" s="218" t="s">
        <v>554</v>
      </c>
      <c r="AN15" s="218" t="s">
        <v>555</v>
      </c>
      <c r="AO15" s="218" t="s">
        <v>556</v>
      </c>
      <c r="AP15" s="218" t="s">
        <v>557</v>
      </c>
      <c r="AQ15" s="218" t="s">
        <v>558</v>
      </c>
      <c r="AR15" s="218" t="s">
        <v>559</v>
      </c>
      <c r="AS15" s="218" t="s">
        <v>560</v>
      </c>
      <c r="AT15" s="218" t="s">
        <v>561</v>
      </c>
      <c r="AU15" s="218" t="s">
        <v>562</v>
      </c>
      <c r="AV15" s="218" t="s">
        <v>563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518</v>
      </c>
      <c r="D17" s="145"/>
      <c r="R17" s="171"/>
      <c r="S17" s="171"/>
    </row>
    <row r="18" spans="2:21">
      <c r="C18" s="40" t="s">
        <v>524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519</v>
      </c>
      <c r="D20" s="148" t="s">
        <v>514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526</v>
      </c>
      <c r="D21" s="128" t="s">
        <v>516</v>
      </c>
      <c r="E21" s="242">
        <f>1-SUMPRODUCT(F19:N19,F21:N21)</f>
        <v>1</v>
      </c>
      <c r="F21" s="242">
        <f>ROUND(F22/$D$22,4)</f>
        <v>1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538</v>
      </c>
      <c r="D22" s="153">
        <f>SUMPRODUCT(E22:N22,E19:N19)</f>
        <v>1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669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503</v>
      </c>
      <c r="T23" s="248" t="str">
        <f>O15</f>
        <v>MeteoGroup Deutschland GmbH</v>
      </c>
    </row>
    <row r="24" spans="2:21">
      <c r="B24" s="16"/>
      <c r="C24" s="151" t="s">
        <v>521</v>
      </c>
      <c r="D24" s="154"/>
      <c r="E24" s="131" t="s">
        <v>661</v>
      </c>
      <c r="F24" s="131" t="s">
        <v>583</v>
      </c>
      <c r="G24" s="131"/>
      <c r="H24" s="131"/>
      <c r="I24" s="131"/>
      <c r="J24" s="131"/>
      <c r="K24" s="131"/>
      <c r="L24" s="131"/>
      <c r="M24" s="131"/>
      <c r="N24" s="131"/>
      <c r="O24" s="152" t="s">
        <v>522</v>
      </c>
      <c r="Q24" s="172"/>
    </row>
    <row r="25" spans="2:21">
      <c r="B25" s="16"/>
      <c r="C25" s="151" t="s">
        <v>515</v>
      </c>
      <c r="D25" s="154"/>
      <c r="E25" s="131">
        <v>104361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504</v>
      </c>
      <c r="F26" s="131" t="s">
        <v>504</v>
      </c>
      <c r="G26" s="131" t="s">
        <v>504</v>
      </c>
      <c r="H26" s="131" t="s">
        <v>504</v>
      </c>
      <c r="I26" s="131" t="s">
        <v>504</v>
      </c>
      <c r="J26" s="131" t="s">
        <v>504</v>
      </c>
      <c r="K26" s="131" t="s">
        <v>504</v>
      </c>
      <c r="L26" s="131" t="s">
        <v>504</v>
      </c>
      <c r="M26" s="131" t="s">
        <v>504</v>
      </c>
      <c r="N26" s="131" t="s">
        <v>504</v>
      </c>
      <c r="O26" s="152" t="s">
        <v>142</v>
      </c>
      <c r="Q26" s="172"/>
      <c r="R26" s="49" t="s">
        <v>504</v>
      </c>
      <c r="S26" s="49" t="s">
        <v>657</v>
      </c>
      <c r="T26" s="49" t="s">
        <v>658</v>
      </c>
      <c r="U26" s="49" t="s">
        <v>505</v>
      </c>
    </row>
    <row r="27" spans="2:21">
      <c r="B27" s="16"/>
      <c r="C27" s="151" t="s">
        <v>656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/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504</v>
      </c>
      <c r="S27" s="49" t="s">
        <v>505</v>
      </c>
    </row>
    <row r="28" spans="2:21">
      <c r="B28" s="16"/>
      <c r="C28" s="155"/>
      <c r="Q28" s="172"/>
    </row>
    <row r="29" spans="2:21">
      <c r="C29" s="40" t="s">
        <v>520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527</v>
      </c>
      <c r="D32" s="153" t="s">
        <v>255</v>
      </c>
      <c r="E32" s="240">
        <f>1-SUMPRODUCT(F30:N30,F32:N32)</f>
        <v>0.5333</v>
      </c>
      <c r="F32" s="240">
        <f>ROUND(F33/$D$33,4)</f>
        <v>0.26669999999999999</v>
      </c>
      <c r="G32" s="240">
        <f t="shared" ref="G32:N32" si="3">ROUND(G33/$D$33,4)</f>
        <v>0.1333</v>
      </c>
      <c r="H32" s="240">
        <f t="shared" si="3"/>
        <v>6.6699999999999995E-2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534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512</v>
      </c>
      <c r="F35" s="131" t="s">
        <v>512</v>
      </c>
      <c r="G35" s="131" t="s">
        <v>512</v>
      </c>
      <c r="H35" s="131" t="s">
        <v>512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512</v>
      </c>
      <c r="S35" s="49" t="s">
        <v>513</v>
      </c>
    </row>
    <row r="36" spans="2:28">
      <c r="B36" s="16"/>
      <c r="C36" s="151" t="s">
        <v>607</v>
      </c>
      <c r="D36" s="128" t="s">
        <v>608</v>
      </c>
      <c r="E36" s="131" t="s">
        <v>606</v>
      </c>
      <c r="F36" s="131" t="s">
        <v>606</v>
      </c>
      <c r="G36" s="131" t="s">
        <v>606</v>
      </c>
      <c r="H36" s="131" t="s">
        <v>606</v>
      </c>
      <c r="I36" s="131" t="s">
        <v>606</v>
      </c>
      <c r="J36" s="131" t="s">
        <v>606</v>
      </c>
      <c r="K36" s="131" t="s">
        <v>606</v>
      </c>
      <c r="L36" s="131" t="s">
        <v>606</v>
      </c>
      <c r="M36" s="131" t="s">
        <v>606</v>
      </c>
      <c r="N36" s="131" t="s">
        <v>606</v>
      </c>
      <c r="O36" s="152" t="s">
        <v>142</v>
      </c>
      <c r="Q36" s="172"/>
      <c r="R36" s="49" t="s">
        <v>606</v>
      </c>
      <c r="S36" s="49" t="s">
        <v>609</v>
      </c>
      <c r="T36" s="41"/>
    </row>
    <row r="37" spans="2:28">
      <c r="B37" s="16"/>
      <c r="C37" s="154" t="s">
        <v>440</v>
      </c>
      <c r="D37" s="98" t="s">
        <v>539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532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525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530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531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536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537</v>
      </c>
      <c r="D47" s="164" t="s">
        <v>535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535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580</v>
      </c>
    </row>
    <row r="52" spans="2:15">
      <c r="I52" s="1"/>
    </row>
    <row r="53" spans="2:15">
      <c r="C53" s="40" t="s">
        <v>544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519</v>
      </c>
      <c r="D55" s="148" t="s">
        <v>514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526</v>
      </c>
      <c r="D56" s="128" t="s">
        <v>516</v>
      </c>
      <c r="E56" s="240">
        <f>1-SUMPRODUCT(F54:N54,F56:N56)</f>
        <v>1</v>
      </c>
      <c r="F56" s="240">
        <f>ROUND(F57/$D$57,4)</f>
        <v>1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538</v>
      </c>
      <c r="D57" s="153">
        <f>SUMPRODUCT(E57:N57,E54:N54)</f>
        <v>1</v>
      </c>
      <c r="E57" s="241">
        <f>E22</f>
        <v>1</v>
      </c>
      <c r="F57" s="241">
        <f t="shared" ref="F57:N57" si="6">F22</f>
        <v>1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tr">
        <f>E23</f>
        <v>MeteoGroup Deutschland GmbH</v>
      </c>
      <c r="F58" s="131" t="str">
        <f t="shared" ref="F58:N58" si="7">F23</f>
        <v>DWD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521</v>
      </c>
      <c r="D59" s="154"/>
      <c r="E59" s="131" t="str">
        <f>E24</f>
        <v>Kassel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522</v>
      </c>
    </row>
    <row r="60" spans="2:15">
      <c r="B60" s="16"/>
      <c r="C60" s="151" t="s">
        <v>515</v>
      </c>
      <c r="D60" s="154"/>
      <c r="E60" s="131">
        <f>E25</f>
        <v>104361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tr">
        <f>E26</f>
        <v>Temp. (2m)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520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527</v>
      </c>
      <c r="D66" s="153" t="s">
        <v>255</v>
      </c>
      <c r="E66" s="240">
        <f>1-SUMPRODUCT(F64:N64,F66:N66)</f>
        <v>0.5333</v>
      </c>
      <c r="F66" s="240">
        <f>ROUND(F67/$D$67,4)</f>
        <v>0.26669999999999999</v>
      </c>
      <c r="G66" s="240">
        <f t="shared" ref="G66:N66" si="12">ROUND(G67/$D$67,4)</f>
        <v>0.1333</v>
      </c>
      <c r="H66" s="240">
        <f t="shared" si="12"/>
        <v>6.6699999999999995E-2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534</v>
      </c>
      <c r="D67" s="153">
        <f>SUMPRODUCT(E67:N67,E64:N64)</f>
        <v>1.875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359</v>
      </c>
      <c r="D68" s="128" t="s">
        <v>358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448</v>
      </c>
      <c r="D69" s="128" t="s">
        <v>447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607</v>
      </c>
      <c r="D70" s="128" t="s">
        <v>608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440</v>
      </c>
      <c r="D71" s="98" t="s">
        <v>539</v>
      </c>
      <c r="E71" s="137" t="s">
        <v>450</v>
      </c>
      <c r="F71" s="137" t="s">
        <v>450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89" t="s">
        <v>581</v>
      </c>
      <c r="D73" s="289"/>
      <c r="E73" s="289"/>
      <c r="F73" s="28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545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Kassel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523</v>
      </c>
      <c r="F9" s="129">
        <f>'SLP-Verfahren'!D43</f>
        <v>1</v>
      </c>
      <c r="H9" s="143" t="s">
        <v>602</v>
      </c>
    </row>
    <row r="10" spans="1:56">
      <c r="C10" s="40" t="s">
        <v>586</v>
      </c>
      <c r="F10" s="249">
        <v>2</v>
      </c>
      <c r="G10" s="41"/>
      <c r="H10" s="143" t="s">
        <v>603</v>
      </c>
    </row>
    <row r="11" spans="1:56">
      <c r="C11" s="40" t="s">
        <v>605</v>
      </c>
      <c r="F11" s="247" t="str">
        <f>INDEX('SLP-Verfahren'!D45:D59,'SLP-Temp-Gebiet #02'!F10)</f>
        <v>Muster-Temp.gebiet 2</v>
      </c>
      <c r="G11" s="250"/>
      <c r="H11" s="68"/>
    </row>
    <row r="12" spans="1:56"/>
    <row r="13" spans="1:56" ht="18" customHeight="1">
      <c r="C13" s="287" t="s">
        <v>585</v>
      </c>
      <c r="D13" s="287"/>
      <c r="E13" s="287"/>
      <c r="F13" s="16" t="s">
        <v>549</v>
      </c>
      <c r="G13" t="s">
        <v>547</v>
      </c>
      <c r="H13" s="219" t="s">
        <v>564</v>
      </c>
      <c r="I13" s="41"/>
    </row>
    <row r="14" spans="1:56" ht="19.5" customHeight="1">
      <c r="C14" s="288" t="s">
        <v>445</v>
      </c>
      <c r="D14" s="288"/>
      <c r="E14" s="5" t="s">
        <v>446</v>
      </c>
      <c r="F14" s="220" t="s">
        <v>85</v>
      </c>
      <c r="G14" s="221" t="s">
        <v>573</v>
      </c>
      <c r="H14" s="36">
        <v>0</v>
      </c>
      <c r="I14" s="41"/>
      <c r="O14" s="144" t="s">
        <v>528</v>
      </c>
      <c r="R14" s="49" t="s">
        <v>565</v>
      </c>
      <c r="S14" s="49" t="s">
        <v>566</v>
      </c>
      <c r="T14" s="49" t="s">
        <v>567</v>
      </c>
      <c r="U14" s="49" t="s">
        <v>568</v>
      </c>
      <c r="V14" s="49" t="s">
        <v>548</v>
      </c>
      <c r="W14" s="49" t="s">
        <v>569</v>
      </c>
      <c r="X14" s="49" t="s">
        <v>570</v>
      </c>
      <c r="Y14" s="49" t="s">
        <v>571</v>
      </c>
      <c r="Z14" s="49" t="s">
        <v>572</v>
      </c>
      <c r="AA14" s="49" t="s">
        <v>573</v>
      </c>
      <c r="AB14" s="49" t="s">
        <v>574</v>
      </c>
      <c r="AC14" s="49" t="s">
        <v>575</v>
      </c>
    </row>
    <row r="15" spans="1:56" ht="19.5" customHeight="1">
      <c r="C15" s="288" t="s">
        <v>385</v>
      </c>
      <c r="D15" s="288"/>
      <c r="E15" s="5" t="s">
        <v>446</v>
      </c>
      <c r="F15" s="220" t="s">
        <v>71</v>
      </c>
      <c r="G15" s="221" t="s">
        <v>567</v>
      </c>
      <c r="H15" s="36">
        <v>0</v>
      </c>
      <c r="I15" s="41"/>
      <c r="O15" s="135" t="s">
        <v>529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550</v>
      </c>
      <c r="AJ15" s="218" t="s">
        <v>551</v>
      </c>
      <c r="AK15" s="218" t="s">
        <v>552</v>
      </c>
      <c r="AL15" s="218" t="s">
        <v>553</v>
      </c>
      <c r="AM15" s="218" t="s">
        <v>554</v>
      </c>
      <c r="AN15" s="218" t="s">
        <v>555</v>
      </c>
      <c r="AO15" s="218" t="s">
        <v>556</v>
      </c>
      <c r="AP15" s="218" t="s">
        <v>557</v>
      </c>
      <c r="AQ15" s="218" t="s">
        <v>558</v>
      </c>
      <c r="AR15" s="218" t="s">
        <v>559</v>
      </c>
      <c r="AS15" s="218" t="s">
        <v>560</v>
      </c>
      <c r="AT15" s="218" t="s">
        <v>561</v>
      </c>
      <c r="AU15" s="218" t="s">
        <v>562</v>
      </c>
      <c r="AV15" s="218" t="s">
        <v>563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518</v>
      </c>
      <c r="D17" s="145"/>
      <c r="R17" s="171"/>
      <c r="S17" s="171"/>
    </row>
    <row r="18" spans="2:20">
      <c r="C18" s="40" t="s">
        <v>524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519</v>
      </c>
      <c r="D20" s="148" t="s">
        <v>514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526</v>
      </c>
      <c r="D21" s="128" t="s">
        <v>516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538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503</v>
      </c>
      <c r="T23" s="248" t="str">
        <f>O15</f>
        <v>Wetterdienstleister ABC</v>
      </c>
    </row>
    <row r="24" spans="2:20">
      <c r="B24" s="16"/>
      <c r="C24" s="151" t="s">
        <v>521</v>
      </c>
      <c r="D24" s="154"/>
      <c r="E24" s="131" t="s">
        <v>582</v>
      </c>
      <c r="F24" s="131" t="s">
        <v>583</v>
      </c>
      <c r="G24" s="131"/>
      <c r="H24" s="131"/>
      <c r="I24" s="131"/>
      <c r="J24" s="131"/>
      <c r="K24" s="131"/>
      <c r="L24" s="131"/>
      <c r="M24" s="131"/>
      <c r="N24" s="131"/>
      <c r="O24" s="152" t="s">
        <v>522</v>
      </c>
      <c r="Q24" s="172"/>
    </row>
    <row r="25" spans="2:20">
      <c r="B25" s="16"/>
      <c r="C25" s="151" t="s">
        <v>515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504</v>
      </c>
      <c r="F26" s="131" t="s">
        <v>504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504</v>
      </c>
      <c r="S26" s="49" t="s">
        <v>505</v>
      </c>
    </row>
    <row r="27" spans="2:20">
      <c r="B27" s="16"/>
      <c r="C27" s="155"/>
      <c r="Q27" s="172"/>
    </row>
    <row r="28" spans="2:20">
      <c r="C28" s="40" t="s">
        <v>520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527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534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512</v>
      </c>
      <c r="F34" s="131" t="s">
        <v>512</v>
      </c>
      <c r="G34" s="131" t="s">
        <v>512</v>
      </c>
      <c r="H34" s="131" t="s">
        <v>512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512</v>
      </c>
      <c r="S34" s="49" t="s">
        <v>513</v>
      </c>
    </row>
    <row r="35" spans="2:28">
      <c r="B35" s="16"/>
      <c r="C35" s="151" t="s">
        <v>607</v>
      </c>
      <c r="D35" s="128" t="s">
        <v>608</v>
      </c>
      <c r="E35" s="131" t="s">
        <v>606</v>
      </c>
      <c r="F35" s="131" t="s">
        <v>606</v>
      </c>
      <c r="G35" s="131" t="s">
        <v>606</v>
      </c>
      <c r="H35" s="131" t="s">
        <v>606</v>
      </c>
      <c r="I35" s="131" t="s">
        <v>606</v>
      </c>
      <c r="J35" s="131" t="s">
        <v>606</v>
      </c>
      <c r="K35" s="131" t="s">
        <v>606</v>
      </c>
      <c r="L35" s="131" t="s">
        <v>606</v>
      </c>
      <c r="M35" s="131" t="s">
        <v>606</v>
      </c>
      <c r="N35" s="131" t="s">
        <v>606</v>
      </c>
      <c r="O35" s="152" t="s">
        <v>142</v>
      </c>
      <c r="Q35" s="172"/>
      <c r="R35" s="49" t="s">
        <v>606</v>
      </c>
      <c r="S35" s="49" t="s">
        <v>609</v>
      </c>
      <c r="T35" s="41"/>
    </row>
    <row r="36" spans="2:28">
      <c r="B36" s="16"/>
      <c r="C36" s="154" t="s">
        <v>440</v>
      </c>
      <c r="D36" s="98" t="s">
        <v>539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532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533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525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530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531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536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537</v>
      </c>
      <c r="D46" s="164" t="s">
        <v>535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535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580</v>
      </c>
    </row>
    <row r="51" spans="2:15">
      <c r="I51" s="1"/>
    </row>
    <row r="52" spans="2:15">
      <c r="C52" s="40" t="s">
        <v>544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519</v>
      </c>
      <c r="D54" s="148" t="s">
        <v>514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526</v>
      </c>
      <c r="D55" s="128" t="s">
        <v>516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538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521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522</v>
      </c>
    </row>
    <row r="59" spans="2:15">
      <c r="B59" s="16"/>
      <c r="C59" s="151" t="s">
        <v>515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520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527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534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607</v>
      </c>
      <c r="D69" s="128" t="s">
        <v>608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440</v>
      </c>
      <c r="D70" s="98" t="s">
        <v>539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89" t="s">
        <v>581</v>
      </c>
      <c r="D72" s="289"/>
      <c r="E72" s="289"/>
      <c r="F72" s="28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19" sqref="J19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Städtische Werke Netz + Service GmbH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Kassel</v>
      </c>
      <c r="I6" s="8" t="s">
        <v>509</v>
      </c>
    </row>
    <row r="7" spans="2:26">
      <c r="C7" s="38" t="s">
        <v>485</v>
      </c>
      <c r="D7" s="39" t="str">
        <f>Netzbetreiber!$D$11</f>
        <v>987009340009</v>
      </c>
    </row>
    <row r="8" spans="2:26">
      <c r="C8" s="38" t="s">
        <v>133</v>
      </c>
      <c r="D8" s="37">
        <f>Netzbetreiber!$D$6</f>
        <v>45108</v>
      </c>
      <c r="H8" t="s">
        <v>493</v>
      </c>
      <c r="J8" s="108">
        <f>COUNTA(D12:D100)</f>
        <v>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30" t="s">
        <v>511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637</v>
      </c>
      <c r="M10" s="125" t="s">
        <v>646</v>
      </c>
      <c r="N10" s="126" t="s">
        <v>647</v>
      </c>
      <c r="O10" s="126" t="s">
        <v>648</v>
      </c>
      <c r="P10" s="127" t="s">
        <v>649</v>
      </c>
      <c r="Q10" s="121" t="s">
        <v>638</v>
      </c>
      <c r="R10" s="111" t="s">
        <v>639</v>
      </c>
      <c r="S10" s="112" t="s">
        <v>640</v>
      </c>
      <c r="T10" s="112" t="s">
        <v>641</v>
      </c>
      <c r="U10" s="112" t="s">
        <v>642</v>
      </c>
      <c r="V10" s="112" t="s">
        <v>643</v>
      </c>
      <c r="W10" s="112" t="s">
        <v>644</v>
      </c>
      <c r="X10" s="113" t="s">
        <v>645</v>
      </c>
      <c r="Y10" s="254" t="s">
        <v>650</v>
      </c>
    </row>
    <row r="11" spans="2:26" ht="15.75" thickBot="1">
      <c r="B11" s="114" t="s">
        <v>494</v>
      </c>
      <c r="C11" s="115" t="s">
        <v>510</v>
      </c>
      <c r="D11" s="253" t="s">
        <v>248</v>
      </c>
      <c r="E11" s="138" t="s">
        <v>517</v>
      </c>
      <c r="F11" s="255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1">
        <v>365.12299999999999</v>
      </c>
    </row>
    <row r="12" spans="2:26">
      <c r="B12" s="116">
        <v>1</v>
      </c>
      <c r="C12" s="117" t="str">
        <f t="shared" ref="C12:C41" si="0">$D$6</f>
        <v>Kassel</v>
      </c>
      <c r="D12" s="46" t="s">
        <v>248</v>
      </c>
      <c r="E12" s="139" t="s">
        <v>666</v>
      </c>
      <c r="F12" s="256" t="str">
        <f>VLOOKUP($E12,'BDEW-Standard'!$B$3:$M$94,F$9,0)</f>
        <v>D14</v>
      </c>
      <c r="H12" s="231">
        <f>ROUND(VLOOKUP($E12,'BDEW-Standard'!$B$3:$M$94,H$9,0),7)</f>
        <v>3.1850190999999999</v>
      </c>
      <c r="I12" s="231">
        <f>ROUND(VLOOKUP($E12,'BDEW-Standard'!$B$3:$M$94,I$9,0),7)</f>
        <v>-37.412415500000002</v>
      </c>
      <c r="J12" s="231">
        <f>ROUND(VLOOKUP($E12,'BDEW-Standard'!$B$3:$M$94,J$9,0),7)</f>
        <v>6.1723179000000004</v>
      </c>
      <c r="K12" s="231">
        <f>ROUND(VLOOKUP($E12,'BDEW-Standard'!$B$3:$M$94,K$9,0),7)</f>
        <v>7.6109599999999999E-2</v>
      </c>
      <c r="L12" s="232">
        <f>ROUND(VLOOKUP($E12,'BDEW-Standard'!$B$3:$M$94,L$9,0),1)</f>
        <v>40</v>
      </c>
      <c r="M12" s="231">
        <f>ROUND(VLOOKUP($E12,'BDEW-Standard'!$B$3:$M$94,M$9,0),7)</f>
        <v>0</v>
      </c>
      <c r="N12" s="231">
        <f>ROUND(VLOOKUP($E12,'BDEW-Standard'!$B$3:$M$94,N$9,0),7)</f>
        <v>0</v>
      </c>
      <c r="O12" s="231">
        <f>ROUND(VLOOKUP($E12,'BDEW-Standard'!$B$3:$M$94,O$9,0),7)</f>
        <v>0</v>
      </c>
      <c r="P12" s="231">
        <f>ROUND(VLOOKUP($E12,'BDEW-Standard'!$B$3:$M$94,P$9,0),7)</f>
        <v>0</v>
      </c>
      <c r="Q12" s="233">
        <f t="shared" ref="Q12:Q26" si="1">($H12/(1+($I12/($Q$9-$L12))^$J12)+$K12)+MAX($M12*$Q$9+$N12,$O12*$Q$9+$P12)</f>
        <v>0.95508749343949439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Kassel</v>
      </c>
      <c r="D13" s="46" t="s">
        <v>248</v>
      </c>
      <c r="E13" s="139" t="s">
        <v>667</v>
      </c>
      <c r="F13" s="256" t="str">
        <f>VLOOKUP($E13,'BDEW-Standard'!$B$3:$M$94,F$9,0)</f>
        <v>D24</v>
      </c>
      <c r="H13" s="231">
        <f>ROUND(VLOOKUP($E13,'BDEW-Standard'!$B$3:$M$94,H$9,0),7)</f>
        <v>2.5187775000000001</v>
      </c>
      <c r="I13" s="231">
        <f>ROUND(VLOOKUP($E13,'BDEW-Standard'!$B$3:$M$94,I$9,0),7)</f>
        <v>-35.033375399999997</v>
      </c>
      <c r="J13" s="231">
        <f>ROUND(VLOOKUP($E13,'BDEW-Standard'!$B$3:$M$94,J$9,0),7)</f>
        <v>6.2240634000000004</v>
      </c>
      <c r="K13" s="231">
        <f>ROUND(VLOOKUP($E13,'BDEW-Standard'!$B$3:$M$94,K$9,0),7)</f>
        <v>0.10107820000000001</v>
      </c>
      <c r="L13" s="232">
        <f>ROUND(VLOOKUP($E13,'BDEW-Standard'!$B$3:$M$94,L$9,0),1)</f>
        <v>40</v>
      </c>
      <c r="M13" s="231">
        <f>ROUND(VLOOKUP($E13,'BDEW-Standard'!$B$3:$M$94,M$9,0),7)</f>
        <v>0</v>
      </c>
      <c r="N13" s="231">
        <f>ROUND(VLOOKUP($E13,'BDEW-Standard'!$B$3:$M$94,N$9,0),7)</f>
        <v>0</v>
      </c>
      <c r="O13" s="231">
        <f>ROUND(VLOOKUP($E13,'BDEW-Standard'!$B$3:$M$94,O$9,0),7)</f>
        <v>0</v>
      </c>
      <c r="P13" s="231">
        <f>ROUND(VLOOKUP($E13,'BDEW-Standard'!$B$3:$M$94,P$9,0),7)</f>
        <v>0</v>
      </c>
      <c r="Q13" s="233">
        <f t="shared" si="1"/>
        <v>1.0146273685996503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:X26" si="2"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Kassel</v>
      </c>
      <c r="D14" s="46" t="s">
        <v>248</v>
      </c>
      <c r="E14" s="139" t="s">
        <v>4</v>
      </c>
      <c r="F14" s="256" t="str">
        <f>VLOOKUP($E14,'BDEW-Standard'!$B$3:$M$94,F$9,0)</f>
        <v>HK3</v>
      </c>
      <c r="H14" s="231">
        <f>ROUND(VLOOKUP($E14,'BDEW-Standard'!$B$3:$M$94,H$9,0),7)</f>
        <v>0.40409319999999999</v>
      </c>
      <c r="I14" s="231">
        <f>ROUND(VLOOKUP($E14,'BDEW-Standard'!$B$3:$M$94,I$9,0),7)</f>
        <v>-24.439296800000001</v>
      </c>
      <c r="J14" s="231">
        <f>ROUND(VLOOKUP($E14,'BDEW-Standard'!$B$3:$M$94,J$9,0),7)</f>
        <v>6.5718174999999999</v>
      </c>
      <c r="K14" s="231">
        <f>ROUND(VLOOKUP($E14,'BDEW-Standard'!$B$3:$M$94,K$9,0),7)</f>
        <v>0.71077100000000004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si="1"/>
        <v>1.0561214000512988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si="2"/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Kassel</v>
      </c>
      <c r="D15" s="46" t="s">
        <v>248</v>
      </c>
      <c r="E15" s="139" t="s">
        <v>668</v>
      </c>
      <c r="F15" s="256" t="str">
        <f>VLOOKUP($E15,'BDEW-Standard'!$B$3:$M$94,F$9,0)</f>
        <v>HD4</v>
      </c>
      <c r="H15" s="231">
        <f>ROUND(VLOOKUP($E15,'BDEW-Standard'!$B$3:$M$94,H$9,0),7)</f>
        <v>3.0084346000000002</v>
      </c>
      <c r="I15" s="231">
        <f>ROUND(VLOOKUP($E15,'BDEW-Standard'!$B$3:$M$94,I$9,0),7)</f>
        <v>-36.607845300000001</v>
      </c>
      <c r="J15" s="231">
        <f>ROUND(VLOOKUP($E15,'BDEW-Standard'!$B$3:$M$94,J$9,0),7)</f>
        <v>7.3211870000000001</v>
      </c>
      <c r="K15" s="231">
        <f>ROUND(VLOOKUP($E15,'BDEW-Standard'!$B$3:$M$94,K$9,0),7)</f>
        <v>0.15496599999999999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1"/>
        <v>0.97302438504000599</v>
      </c>
      <c r="R15" s="234">
        <f>ROUND(VLOOKUP(MID($E15,4,3),'Wochentag F(WT)'!$B$7:$J$22,R$9,0),4)</f>
        <v>1.03</v>
      </c>
      <c r="S15" s="234">
        <f>ROUND(VLOOKUP(MID($E15,4,3),'Wochentag F(WT)'!$B$7:$J$22,S$9,0),4)</f>
        <v>1.03</v>
      </c>
      <c r="T15" s="234">
        <f>ROUND(VLOOKUP(MID($E15,4,3),'Wochentag F(WT)'!$B$7:$J$22,T$9,0),4)</f>
        <v>1.02</v>
      </c>
      <c r="U15" s="234">
        <f>ROUND(VLOOKUP(MID($E15,4,3),'Wochentag F(WT)'!$B$7:$J$22,U$9,0),4)</f>
        <v>1.03</v>
      </c>
      <c r="V15" s="234">
        <f>ROUND(VLOOKUP(MID($E15,4,3),'Wochentag F(WT)'!$B$7:$J$22,V$9,0),4)</f>
        <v>1.01</v>
      </c>
      <c r="W15" s="234">
        <f>ROUND(VLOOKUP(MID($E15,4,3),'Wochentag F(WT)'!$B$7:$J$22,W$9,0),4)</f>
        <v>0.93</v>
      </c>
      <c r="X15" s="235">
        <f t="shared" si="2"/>
        <v>0.95000000000000018</v>
      </c>
      <c r="Y15" s="252"/>
      <c r="Z15" s="173"/>
    </row>
    <row r="16" spans="2:26" s="118" customFormat="1">
      <c r="B16" s="119">
        <v>5</v>
      </c>
      <c r="C16" s="120" t="str">
        <f t="shared" si="0"/>
        <v>Kassel</v>
      </c>
      <c r="D16" s="46"/>
      <c r="E16" s="139"/>
      <c r="F16" s="256"/>
      <c r="H16" s="231"/>
      <c r="I16" s="231"/>
      <c r="J16" s="231"/>
      <c r="K16" s="231"/>
      <c r="L16" s="232"/>
      <c r="M16" s="231"/>
      <c r="N16" s="231"/>
      <c r="O16" s="231"/>
      <c r="P16" s="231"/>
      <c r="Q16" s="233"/>
      <c r="R16" s="234"/>
      <c r="S16" s="234"/>
      <c r="T16" s="234"/>
      <c r="U16" s="234"/>
      <c r="V16" s="234"/>
      <c r="W16" s="234"/>
      <c r="X16" s="235"/>
      <c r="Y16" s="252"/>
      <c r="Z16" s="173"/>
    </row>
    <row r="17" spans="2:26" s="118" customFormat="1">
      <c r="B17" s="119">
        <v>6</v>
      </c>
      <c r="C17" s="120" t="str">
        <f t="shared" si="0"/>
        <v>Kassel</v>
      </c>
      <c r="D17" s="46"/>
      <c r="E17" s="139"/>
      <c r="F17" s="256"/>
      <c r="H17" s="231"/>
      <c r="I17" s="231"/>
      <c r="J17" s="231"/>
      <c r="K17" s="231"/>
      <c r="L17" s="232"/>
      <c r="M17" s="231"/>
      <c r="N17" s="231"/>
      <c r="O17" s="231"/>
      <c r="P17" s="231"/>
      <c r="Q17" s="233"/>
      <c r="R17" s="234"/>
      <c r="S17" s="234"/>
      <c r="T17" s="234"/>
      <c r="U17" s="234"/>
      <c r="V17" s="234"/>
      <c r="W17" s="234"/>
      <c r="X17" s="235"/>
      <c r="Y17" s="252"/>
      <c r="Z17" s="173"/>
    </row>
    <row r="18" spans="2:26" s="118" customFormat="1">
      <c r="B18" s="119">
        <v>7</v>
      </c>
      <c r="C18" s="120" t="str">
        <f t="shared" si="0"/>
        <v>Kassel</v>
      </c>
      <c r="D18" s="46"/>
      <c r="E18" s="139"/>
      <c r="F18" s="256"/>
      <c r="H18" s="231"/>
      <c r="I18" s="231"/>
      <c r="J18" s="231"/>
      <c r="K18" s="231"/>
      <c r="L18" s="232"/>
      <c r="M18" s="231"/>
      <c r="N18" s="231"/>
      <c r="O18" s="231"/>
      <c r="P18" s="231"/>
      <c r="Q18" s="233"/>
      <c r="R18" s="234"/>
      <c r="S18" s="234"/>
      <c r="T18" s="234"/>
      <c r="U18" s="234"/>
      <c r="V18" s="234"/>
      <c r="W18" s="234"/>
      <c r="X18" s="235"/>
      <c r="Y18" s="252"/>
      <c r="Z18" s="173"/>
    </row>
    <row r="19" spans="2:26" s="118" customFormat="1">
      <c r="B19" s="119">
        <v>8</v>
      </c>
      <c r="C19" s="120" t="str">
        <f t="shared" si="0"/>
        <v>Kassel</v>
      </c>
      <c r="D19" s="46"/>
      <c r="E19" s="139"/>
      <c r="F19" s="256"/>
      <c r="H19" s="231"/>
      <c r="I19" s="231"/>
      <c r="J19" s="231"/>
      <c r="K19" s="231"/>
      <c r="L19" s="232"/>
      <c r="M19" s="231"/>
      <c r="N19" s="231"/>
      <c r="O19" s="231"/>
      <c r="P19" s="231"/>
      <c r="Q19" s="233"/>
      <c r="R19" s="234"/>
      <c r="S19" s="234"/>
      <c r="T19" s="234"/>
      <c r="U19" s="234"/>
      <c r="V19" s="234"/>
      <c r="W19" s="234"/>
      <c r="X19" s="235"/>
      <c r="Y19" s="252"/>
      <c r="Z19" s="173"/>
    </row>
    <row r="20" spans="2:26" s="118" customFormat="1">
      <c r="B20" s="119">
        <v>9</v>
      </c>
      <c r="C20" s="120" t="str">
        <f t="shared" si="0"/>
        <v>Kassel</v>
      </c>
      <c r="D20" s="46"/>
      <c r="E20" s="139"/>
      <c r="F20" s="256"/>
      <c r="H20" s="231"/>
      <c r="I20" s="231"/>
      <c r="J20" s="231"/>
      <c r="K20" s="231"/>
      <c r="L20" s="232"/>
      <c r="M20" s="231"/>
      <c r="N20" s="231"/>
      <c r="O20" s="231"/>
      <c r="P20" s="231"/>
      <c r="Q20" s="233"/>
      <c r="R20" s="234"/>
      <c r="S20" s="234"/>
      <c r="T20" s="234"/>
      <c r="U20" s="234"/>
      <c r="V20" s="234"/>
      <c r="W20" s="234"/>
      <c r="X20" s="235"/>
      <c r="Y20" s="252"/>
      <c r="Z20" s="173"/>
    </row>
    <row r="21" spans="2:26" s="118" customFormat="1">
      <c r="B21" s="119">
        <v>10</v>
      </c>
      <c r="C21" s="120" t="str">
        <f t="shared" si="0"/>
        <v>Kassel</v>
      </c>
      <c r="D21" s="46"/>
      <c r="E21" s="139"/>
      <c r="F21" s="256"/>
      <c r="H21" s="231"/>
      <c r="I21" s="231"/>
      <c r="J21" s="231"/>
      <c r="K21" s="231"/>
      <c r="L21" s="232"/>
      <c r="M21" s="231"/>
      <c r="N21" s="231"/>
      <c r="O21" s="231"/>
      <c r="P21" s="231"/>
      <c r="Q21" s="233"/>
      <c r="R21" s="234"/>
      <c r="S21" s="234"/>
      <c r="T21" s="234"/>
      <c r="U21" s="234"/>
      <c r="V21" s="234"/>
      <c r="W21" s="234"/>
      <c r="X21" s="235"/>
      <c r="Y21" s="252"/>
      <c r="Z21" s="173"/>
    </row>
    <row r="22" spans="2:26" s="118" customFormat="1">
      <c r="B22" s="119">
        <v>11</v>
      </c>
      <c r="C22" s="120" t="str">
        <f t="shared" si="0"/>
        <v>Kassel</v>
      </c>
      <c r="D22" s="46"/>
      <c r="E22" s="139"/>
      <c r="F22" s="256"/>
      <c r="H22" s="231"/>
      <c r="I22" s="231"/>
      <c r="J22" s="231"/>
      <c r="K22" s="231"/>
      <c r="L22" s="232"/>
      <c r="M22" s="231"/>
      <c r="N22" s="231"/>
      <c r="O22" s="231"/>
      <c r="P22" s="231"/>
      <c r="Q22" s="233"/>
      <c r="R22" s="234"/>
      <c r="S22" s="234"/>
      <c r="T22" s="234"/>
      <c r="U22" s="234"/>
      <c r="V22" s="234"/>
      <c r="W22" s="234"/>
      <c r="X22" s="235"/>
      <c r="Y22" s="252"/>
      <c r="Z22" s="173"/>
    </row>
    <row r="23" spans="2:26" s="118" customFormat="1">
      <c r="B23" s="119">
        <v>12</v>
      </c>
      <c r="C23" s="120" t="str">
        <f t="shared" si="0"/>
        <v>Kassel</v>
      </c>
      <c r="D23" s="46"/>
      <c r="E23" s="139"/>
      <c r="F23" s="256"/>
      <c r="H23" s="231"/>
      <c r="I23" s="231"/>
      <c r="J23" s="231"/>
      <c r="K23" s="231"/>
      <c r="L23" s="232"/>
      <c r="M23" s="231"/>
      <c r="N23" s="231"/>
      <c r="O23" s="231"/>
      <c r="P23" s="231"/>
      <c r="Q23" s="233"/>
      <c r="R23" s="234"/>
      <c r="S23" s="234"/>
      <c r="T23" s="234"/>
      <c r="U23" s="234"/>
      <c r="V23" s="234"/>
      <c r="W23" s="234"/>
      <c r="X23" s="235"/>
      <c r="Y23" s="252"/>
      <c r="Z23" s="173"/>
    </row>
    <row r="24" spans="2:26" s="118" customFormat="1">
      <c r="B24" s="119">
        <v>13</v>
      </c>
      <c r="C24" s="120" t="str">
        <f t="shared" si="0"/>
        <v>Kassel</v>
      </c>
      <c r="D24" s="46"/>
      <c r="E24" s="139"/>
      <c r="F24" s="256"/>
      <c r="H24" s="231"/>
      <c r="I24" s="231"/>
      <c r="J24" s="231"/>
      <c r="K24" s="231"/>
      <c r="L24" s="232"/>
      <c r="M24" s="231"/>
      <c r="N24" s="231"/>
      <c r="O24" s="231"/>
      <c r="P24" s="231"/>
      <c r="Q24" s="233"/>
      <c r="R24" s="234"/>
      <c r="S24" s="234"/>
      <c r="T24" s="234"/>
      <c r="U24" s="234"/>
      <c r="V24" s="234"/>
      <c r="W24" s="234"/>
      <c r="X24" s="235"/>
      <c r="Y24" s="252"/>
      <c r="Z24" s="173"/>
    </row>
    <row r="25" spans="2:26" s="118" customFormat="1">
      <c r="B25" s="119">
        <v>14</v>
      </c>
      <c r="C25" s="120" t="str">
        <f t="shared" si="0"/>
        <v>Kassel</v>
      </c>
      <c r="D25" s="46"/>
      <c r="E25" s="139"/>
      <c r="F25" s="256"/>
      <c r="H25" s="231"/>
      <c r="I25" s="231"/>
      <c r="J25" s="231"/>
      <c r="K25" s="231"/>
      <c r="L25" s="232"/>
      <c r="M25" s="231"/>
      <c r="N25" s="231"/>
      <c r="O25" s="231"/>
      <c r="P25" s="231"/>
      <c r="Q25" s="233"/>
      <c r="R25" s="234"/>
      <c r="S25" s="234"/>
      <c r="T25" s="234"/>
      <c r="U25" s="234"/>
      <c r="V25" s="234"/>
      <c r="W25" s="234"/>
      <c r="X25" s="235"/>
      <c r="Y25" s="252"/>
      <c r="Z25" s="173"/>
    </row>
    <row r="26" spans="2:26" s="118" customFormat="1">
      <c r="B26" s="119">
        <v>15</v>
      </c>
      <c r="C26" s="120" t="str">
        <f t="shared" si="0"/>
        <v>Kassel</v>
      </c>
      <c r="D26" s="46"/>
      <c r="E26" s="139"/>
      <c r="F26" s="256"/>
      <c r="H26" s="231"/>
      <c r="I26" s="231"/>
      <c r="J26" s="231"/>
      <c r="K26" s="231"/>
      <c r="L26" s="232"/>
      <c r="M26" s="231"/>
      <c r="N26" s="231"/>
      <c r="O26" s="231"/>
      <c r="P26" s="231"/>
      <c r="Q26" s="233"/>
      <c r="R26" s="234"/>
      <c r="S26" s="234"/>
      <c r="T26" s="234"/>
      <c r="U26" s="234"/>
      <c r="V26" s="234"/>
      <c r="W26" s="234"/>
      <c r="X26" s="235"/>
      <c r="Y26" s="252"/>
      <c r="Z26" s="173"/>
    </row>
    <row r="27" spans="2:26" s="118" customFormat="1">
      <c r="B27" s="119">
        <v>16</v>
      </c>
      <c r="C27" s="120" t="str">
        <f t="shared" si="0"/>
        <v>Kassel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Kassel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Kassel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Kassel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Kassel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Kassel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Kassel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Kassel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Kassel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Kassel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Kassel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Kassel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Kassel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Kassel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Kassel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2" priority="9">
      <formula>ISERROR(F11)</formula>
    </cfRule>
  </conditionalFormatting>
  <conditionalFormatting sqref="E12:F41 Y12:Y41">
    <cfRule type="duplicateValues" dxfId="11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546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24" sqref="E24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Städtische Werke Netz + Service GmbH</v>
      </c>
      <c r="D4" s="58"/>
      <c r="G4" s="58"/>
      <c r="I4" s="58"/>
      <c r="J4" s="59"/>
      <c r="M4" s="67" t="s">
        <v>540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Kassel</v>
      </c>
      <c r="D5" s="25"/>
      <c r="E5" s="58"/>
      <c r="F5" s="58"/>
      <c r="G5" s="58"/>
      <c r="I5" s="58"/>
      <c r="J5" s="58"/>
      <c r="K5" s="58"/>
      <c r="L5" s="58"/>
      <c r="M5" s="68" t="s">
        <v>508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 t="str">
        <f>Netzbetreiber!$D$11</f>
        <v>987009340009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45108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0" t="s">
        <v>455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5" t="s">
        <v>584</v>
      </c>
      <c r="C10" s="296"/>
      <c r="D10" s="73">
        <v>2</v>
      </c>
      <c r="E10" s="74" t="str">
        <f>IF(ISERROR(HLOOKUP(E$11,$M$9:$AD$35,$D10,0)),"",HLOOKUP(E$11,$M$9:$AD$35,$D10,0))</f>
        <v/>
      </c>
      <c r="F10" s="293" t="s">
        <v>395</v>
      </c>
      <c r="G10" s="293"/>
      <c r="H10" s="293"/>
      <c r="I10" s="293"/>
      <c r="J10" s="293"/>
      <c r="K10" s="293"/>
      <c r="L10" s="294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2">
        <f>MIN(SUMPRODUCT($M$11:$AD$11,M12:AD12),1)</f>
        <v>1</v>
      </c>
      <c r="F12" s="259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3">
        <f t="shared" si="0"/>
        <v>0</v>
      </c>
      <c r="F14" s="260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3">
        <f t="shared" si="0"/>
        <v>0</v>
      </c>
      <c r="F15" s="260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3">
        <f t="shared" si="0"/>
        <v>1</v>
      </c>
      <c r="F16" s="260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3">
        <f t="shared" si="0"/>
        <v>1</v>
      </c>
      <c r="F17" s="260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3">
        <f t="shared" si="0"/>
        <v>1</v>
      </c>
      <c r="F18" s="260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653</v>
      </c>
      <c r="C19" s="96"/>
      <c r="D19" s="90"/>
      <c r="E19" s="263">
        <v>0</v>
      </c>
      <c r="F19" s="260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3">
        <f t="shared" si="0"/>
        <v>1</v>
      </c>
      <c r="F20" s="260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651</v>
      </c>
      <c r="C21" s="96"/>
      <c r="D21" s="90">
        <v>12</v>
      </c>
      <c r="E21" s="263">
        <f t="shared" si="0"/>
        <v>1</v>
      </c>
      <c r="F21" s="260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3">
        <f t="shared" si="0"/>
        <v>1</v>
      </c>
      <c r="F22" s="260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3">
        <f t="shared" si="0"/>
        <v>1</v>
      </c>
      <c r="F23" s="260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3">
        <v>1</v>
      </c>
      <c r="F24" s="260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3">
        <f t="shared" si="0"/>
        <v>0</v>
      </c>
      <c r="F25" s="260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3">
        <f t="shared" si="0"/>
        <v>0</v>
      </c>
      <c r="F26" s="260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652</v>
      </c>
      <c r="C27" s="96"/>
      <c r="D27" s="90"/>
      <c r="E27" s="263">
        <v>0</v>
      </c>
      <c r="F27" s="260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3">
        <f t="shared" si="0"/>
        <v>1</v>
      </c>
      <c r="F28" s="260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3">
        <v>0</v>
      </c>
      <c r="F29" s="260" t="s">
        <v>392</v>
      </c>
      <c r="G29" s="260" t="s">
        <v>392</v>
      </c>
      <c r="H29" s="260" t="s">
        <v>392</v>
      </c>
      <c r="I29" s="260" t="s">
        <v>392</v>
      </c>
      <c r="J29" s="260" t="s">
        <v>392</v>
      </c>
      <c r="K29" s="260" t="s">
        <v>392</v>
      </c>
      <c r="L29" s="260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3">
        <f t="shared" si="0"/>
        <v>0</v>
      </c>
      <c r="F30" s="260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3">
        <f t="shared" si="0"/>
        <v>0</v>
      </c>
      <c r="F31" s="260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3">
        <f t="shared" si="0"/>
        <v>0</v>
      </c>
      <c r="F32" s="260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3">
        <f t="shared" si="0"/>
        <v>1</v>
      </c>
      <c r="F33" s="260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3">
        <f t="shared" si="0"/>
        <v>1</v>
      </c>
      <c r="F34" s="260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4">
        <f t="shared" si="0"/>
        <v>0</v>
      </c>
      <c r="F35" s="261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7" priority="9">
      <formula>IF(E$11="NB",1,0)</formula>
    </cfRule>
  </conditionalFormatting>
  <conditionalFormatting sqref="F12:L35">
    <cfRule type="expression" dxfId="6" priority="6">
      <formula>IF($E12=1,1,0)</formula>
    </cfRule>
  </conditionalFormatting>
  <conditionalFormatting sqref="M12:AD35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546</v>
      </c>
      <c r="O1" s="194"/>
    </row>
    <row r="2" spans="1:16">
      <c r="A2" s="194"/>
      <c r="B2" s="194" t="s">
        <v>453</v>
      </c>
    </row>
    <row r="3" spans="1:16" ht="20.100000000000001" customHeight="1">
      <c r="A3" s="297" t="s">
        <v>249</v>
      </c>
      <c r="B3" s="195" t="s">
        <v>86</v>
      </c>
      <c r="C3" s="196"/>
      <c r="D3" s="299" t="s">
        <v>454</v>
      </c>
      <c r="E3" s="300"/>
      <c r="F3" s="300"/>
      <c r="G3" s="300"/>
      <c r="H3" s="300"/>
      <c r="I3" s="300"/>
      <c r="J3" s="301"/>
      <c r="K3" s="197"/>
      <c r="L3" s="197"/>
      <c r="M3" s="197"/>
      <c r="N3" s="197"/>
      <c r="O3" s="154"/>
      <c r="P3" s="197"/>
    </row>
    <row r="4" spans="1:16" ht="20.100000000000001" customHeight="1">
      <c r="A4" s="298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Albert Nils</cp:lastModifiedBy>
  <cp:lastPrinted>2015-03-20T22:59:10Z</cp:lastPrinted>
  <dcterms:created xsi:type="dcterms:W3CDTF">2015-01-15T05:25:41Z</dcterms:created>
  <dcterms:modified xsi:type="dcterms:W3CDTF">2023-06-30T12:33:37Z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